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595" windowHeight="8280" activeTab="0"/>
  </bookViews>
  <sheets>
    <sheet name="表1_ケースA" sheetId="1" r:id="rId1"/>
    <sheet name="表2_ケースB" sheetId="2" r:id="rId2"/>
    <sheet name="表3_ケースB_DR固定費あり" sheetId="3" r:id="rId3"/>
    <sheet name="表4_ケースA_コスト最小逸脱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<sst xmlns="http://schemas.openxmlformats.org/spreadsheetml/2006/main" count="239" uniqueCount="60">
  <si>
    <t>需要</t>
  </si>
  <si>
    <t>電源</t>
  </si>
  <si>
    <t>ベース</t>
  </si>
  <si>
    <t>ミドル</t>
  </si>
  <si>
    <t>ピーク</t>
  </si>
  <si>
    <t>固定費</t>
  </si>
  <si>
    <t>可変費</t>
  </si>
  <si>
    <t>設備容量</t>
  </si>
  <si>
    <t>発電量</t>
  </si>
  <si>
    <t>合計</t>
  </si>
  <si>
    <t>収入</t>
  </si>
  <si>
    <t>費用</t>
  </si>
  <si>
    <t>平均発電費</t>
  </si>
  <si>
    <t>構成比</t>
  </si>
  <si>
    <t>市場価格</t>
  </si>
  <si>
    <t>DR</t>
  </si>
  <si>
    <t>ベース</t>
  </si>
  <si>
    <t>ミドル</t>
  </si>
  <si>
    <t>ピーク</t>
  </si>
  <si>
    <t>最大</t>
  </si>
  <si>
    <t>最小</t>
  </si>
  <si>
    <t>持続曲線の傾き</t>
  </si>
  <si>
    <t>～</t>
  </si>
  <si>
    <t>最経済的な稼働時間（h）</t>
  </si>
  <si>
    <t>合計</t>
  </si>
  <si>
    <t>市場価格</t>
  </si>
  <si>
    <t>収支</t>
  </si>
  <si>
    <t>(万kW)</t>
  </si>
  <si>
    <t>(万kW/h)</t>
  </si>
  <si>
    <t>(円/kW/年)</t>
  </si>
  <si>
    <t>(円/kWh)</t>
  </si>
  <si>
    <t>(億kWh)</t>
  </si>
  <si>
    <t>(億円)</t>
  </si>
  <si>
    <t>収益性</t>
  </si>
  <si>
    <t>モデル計算</t>
  </si>
  <si>
    <t>ケースA</t>
  </si>
  <si>
    <t>ケースA</t>
  </si>
  <si>
    <t>最経済的な稼働時間（h）</t>
  </si>
  <si>
    <t>～</t>
  </si>
  <si>
    <t>DR</t>
  </si>
  <si>
    <t>モデル計算</t>
  </si>
  <si>
    <t>ケースB</t>
  </si>
  <si>
    <t>ケースB(DR固定費あり)</t>
  </si>
  <si>
    <t>０を強制入力</t>
  </si>
  <si>
    <t>入力エリア</t>
  </si>
  <si>
    <t>入力エリア</t>
  </si>
  <si>
    <t>０を強制入力</t>
  </si>
  <si>
    <t>ベース</t>
  </si>
  <si>
    <t>ミドル</t>
  </si>
  <si>
    <t>ピーク</t>
  </si>
  <si>
    <t>DR</t>
  </si>
  <si>
    <t>←強制加算</t>
  </si>
  <si>
    <t>T0</t>
  </si>
  <si>
    <t>T1</t>
  </si>
  <si>
    <t>T2</t>
  </si>
  <si>
    <t>T3</t>
  </si>
  <si>
    <t>T0-T1</t>
  </si>
  <si>
    <t>T1-T2</t>
  </si>
  <si>
    <t>T2－T3</t>
  </si>
  <si>
    <t>0-T3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</si>
</sst>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%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 style="thin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59">
    <xf numFmtId="0" fontId="0" fillId="0" borderId="0" xfId="0" applyFont="1" applyAlignment="1">
      <alignment vertical="center"/>
    </xf>
    <xf numFmtId="38" fontId="1" fillId="0" borderId="0" xfId="48" applyFont="1" applyAlignment="1">
      <alignment vertical="center"/>
    </xf>
    <xf numFmtId="38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38" fontId="1" fillId="0" borderId="0" xfId="48" applyFont="1" applyAlignment="1">
      <alignment vertical="center"/>
    </xf>
    <xf numFmtId="9" fontId="1" fillId="0" borderId="0" xfId="42" applyFont="1" applyAlignment="1">
      <alignment vertical="center"/>
    </xf>
    <xf numFmtId="38" fontId="1" fillId="0" borderId="0" xfId="48" applyFont="1" applyAlignment="1">
      <alignment vertical="center"/>
    </xf>
    <xf numFmtId="0" fontId="0" fillId="0" borderId="10" xfId="0" applyBorder="1" applyAlignment="1">
      <alignment horizontal="center" vertical="center"/>
    </xf>
    <xf numFmtId="38" fontId="1" fillId="0" borderId="0" xfId="48" applyFont="1" applyBorder="1" applyAlignment="1">
      <alignment vertical="center"/>
    </xf>
    <xf numFmtId="3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8" fontId="1" fillId="0" borderId="12" xfId="48" applyFont="1" applyBorder="1" applyAlignment="1">
      <alignment vertical="center"/>
    </xf>
    <xf numFmtId="9" fontId="1" fillId="0" borderId="12" xfId="42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1" fillId="0" borderId="17" xfId="48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1" fillId="0" borderId="19" xfId="48" applyFont="1" applyBorder="1" applyAlignment="1">
      <alignment horizontal="center" vertical="center"/>
    </xf>
    <xf numFmtId="38" fontId="1" fillId="0" borderId="18" xfId="48" applyFont="1" applyBorder="1" applyAlignment="1">
      <alignment vertical="center"/>
    </xf>
    <xf numFmtId="9" fontId="0" fillId="0" borderId="18" xfId="42" applyFont="1" applyBorder="1" applyAlignment="1">
      <alignment vertical="center"/>
    </xf>
    <xf numFmtId="9" fontId="0" fillId="0" borderId="19" xfId="42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0" fillId="0" borderId="23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9" fontId="0" fillId="0" borderId="23" xfId="42" applyFont="1" applyBorder="1" applyAlignment="1">
      <alignment vertical="center"/>
    </xf>
    <xf numFmtId="9" fontId="0" fillId="0" borderId="24" xfId="42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1" fillId="0" borderId="29" xfId="48" applyFont="1" applyBorder="1" applyAlignment="1">
      <alignment vertical="center"/>
    </xf>
    <xf numFmtId="38" fontId="1" fillId="0" borderId="30" xfId="48" applyFont="1" applyBorder="1" applyAlignment="1">
      <alignment vertical="center"/>
    </xf>
    <xf numFmtId="176" fontId="1" fillId="0" borderId="31" xfId="48" applyNumberFormat="1" applyFont="1" applyBorder="1" applyAlignment="1">
      <alignment vertical="center"/>
    </xf>
    <xf numFmtId="38" fontId="1" fillId="0" borderId="31" xfId="48" applyFont="1" applyBorder="1" applyAlignment="1">
      <alignment vertical="center"/>
    </xf>
    <xf numFmtId="0" fontId="0" fillId="0" borderId="35" xfId="0" applyBorder="1" applyAlignment="1">
      <alignment vertical="center"/>
    </xf>
    <xf numFmtId="38" fontId="0" fillId="0" borderId="36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8" fontId="1" fillId="0" borderId="39" xfId="48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8" fontId="0" fillId="0" borderId="43" xfId="0" applyNumberFormat="1" applyBorder="1" applyAlignment="1">
      <alignment vertical="center"/>
    </xf>
    <xf numFmtId="38" fontId="1" fillId="0" borderId="43" xfId="48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38" fontId="1" fillId="0" borderId="48" xfId="48" applyFont="1" applyBorder="1" applyAlignment="1">
      <alignment vertical="center"/>
    </xf>
    <xf numFmtId="38" fontId="1" fillId="0" borderId="49" xfId="48" applyFont="1" applyBorder="1" applyAlignment="1">
      <alignment vertical="center"/>
    </xf>
    <xf numFmtId="0" fontId="0" fillId="0" borderId="43" xfId="0" applyBorder="1" applyAlignment="1">
      <alignment vertical="center"/>
    </xf>
    <xf numFmtId="177" fontId="1" fillId="0" borderId="49" xfId="48" applyNumberFormat="1" applyFont="1" applyBorder="1" applyAlignment="1">
      <alignment vertical="center"/>
    </xf>
    <xf numFmtId="38" fontId="1" fillId="0" borderId="45" xfId="48" applyFont="1" applyBorder="1" applyAlignment="1">
      <alignment vertical="center"/>
    </xf>
    <xf numFmtId="38" fontId="1" fillId="0" borderId="52" xfId="48" applyFont="1" applyBorder="1" applyAlignment="1">
      <alignment vertical="center"/>
    </xf>
    <xf numFmtId="38" fontId="1" fillId="0" borderId="53" xfId="48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38" fontId="1" fillId="0" borderId="55" xfId="48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56" xfId="0" applyBorder="1" applyAlignment="1">
      <alignment vertical="center"/>
    </xf>
    <xf numFmtId="38" fontId="1" fillId="33" borderId="0" xfId="48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38" fontId="1" fillId="33" borderId="59" xfId="48" applyFont="1" applyFill="1" applyBorder="1" applyAlignment="1">
      <alignment vertical="center"/>
    </xf>
    <xf numFmtId="0" fontId="0" fillId="33" borderId="58" xfId="0" applyFill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0" fontId="0" fillId="0" borderId="63" xfId="0" applyBorder="1" applyAlignment="1">
      <alignment horizontal="left" vertical="center" shrinkToFit="1"/>
    </xf>
    <xf numFmtId="0" fontId="0" fillId="0" borderId="64" xfId="0" applyBorder="1" applyAlignment="1">
      <alignment horizontal="center" vertical="center"/>
    </xf>
    <xf numFmtId="38" fontId="1" fillId="33" borderId="58" xfId="48" applyFont="1" applyFill="1" applyBorder="1" applyAlignment="1">
      <alignment vertical="center"/>
    </xf>
    <xf numFmtId="38" fontId="1" fillId="33" borderId="50" xfId="48" applyFont="1" applyFill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horizontal="center" vertical="center"/>
    </xf>
    <xf numFmtId="38" fontId="1" fillId="0" borderId="66" xfId="48" applyFont="1" applyBorder="1" applyAlignment="1">
      <alignment vertical="center"/>
    </xf>
    <xf numFmtId="38" fontId="1" fillId="0" borderId="67" xfId="48" applyFont="1" applyBorder="1" applyAlignment="1">
      <alignment vertical="center"/>
    </xf>
    <xf numFmtId="38" fontId="1" fillId="0" borderId="68" xfId="48" applyFont="1" applyBorder="1" applyAlignment="1">
      <alignment vertical="center"/>
    </xf>
    <xf numFmtId="38" fontId="1" fillId="0" borderId="69" xfId="48" applyFont="1" applyBorder="1" applyAlignment="1">
      <alignment vertical="center"/>
    </xf>
    <xf numFmtId="38" fontId="1" fillId="0" borderId="70" xfId="48" applyFont="1" applyBorder="1" applyAlignment="1">
      <alignment vertical="center"/>
    </xf>
    <xf numFmtId="38" fontId="1" fillId="0" borderId="71" xfId="48" applyFont="1" applyBorder="1" applyAlignment="1">
      <alignment vertical="center"/>
    </xf>
    <xf numFmtId="38" fontId="1" fillId="0" borderId="72" xfId="48" applyFont="1" applyBorder="1" applyAlignment="1">
      <alignment vertical="center"/>
    </xf>
    <xf numFmtId="38" fontId="1" fillId="0" borderId="73" xfId="48" applyFont="1" applyBorder="1" applyAlignment="1">
      <alignment vertical="center"/>
    </xf>
    <xf numFmtId="38" fontId="0" fillId="0" borderId="22" xfId="0" applyNumberFormat="1" applyBorder="1" applyAlignment="1">
      <alignment vertical="center"/>
    </xf>
    <xf numFmtId="38" fontId="1" fillId="33" borderId="58" xfId="48" applyFont="1" applyFill="1" applyBorder="1" applyAlignment="1">
      <alignment vertical="center"/>
    </xf>
    <xf numFmtId="38" fontId="1" fillId="33" borderId="50" xfId="48" applyFont="1" applyFill="1" applyBorder="1" applyAlignment="1">
      <alignment vertical="center"/>
    </xf>
    <xf numFmtId="38" fontId="1" fillId="33" borderId="59" xfId="48" applyFont="1" applyFill="1" applyBorder="1" applyAlignment="1">
      <alignment vertical="center"/>
    </xf>
    <xf numFmtId="38" fontId="1" fillId="33" borderId="0" xfId="48" applyFont="1" applyFill="1" applyBorder="1" applyAlignment="1">
      <alignment vertical="center"/>
    </xf>
    <xf numFmtId="38" fontId="1" fillId="0" borderId="0" xfId="48" applyFont="1" applyBorder="1" applyAlignment="1">
      <alignment vertical="center"/>
    </xf>
    <xf numFmtId="38" fontId="1" fillId="0" borderId="12" xfId="48" applyFont="1" applyBorder="1" applyAlignment="1">
      <alignment vertical="center"/>
    </xf>
    <xf numFmtId="38" fontId="1" fillId="0" borderId="17" xfId="48" applyFont="1" applyBorder="1" applyAlignment="1">
      <alignment horizontal="center" vertical="center"/>
    </xf>
    <xf numFmtId="38" fontId="1" fillId="0" borderId="19" xfId="48" applyFont="1" applyBorder="1" applyAlignment="1">
      <alignment horizontal="center" vertical="center"/>
    </xf>
    <xf numFmtId="38" fontId="1" fillId="0" borderId="18" xfId="48" applyFont="1" applyBorder="1" applyAlignment="1">
      <alignment vertical="center"/>
    </xf>
    <xf numFmtId="38" fontId="1" fillId="0" borderId="43" xfId="48" applyFont="1" applyBorder="1" applyAlignment="1">
      <alignment vertical="center"/>
    </xf>
    <xf numFmtId="38" fontId="1" fillId="0" borderId="48" xfId="48" applyFont="1" applyBorder="1" applyAlignment="1">
      <alignment vertical="center"/>
    </xf>
    <xf numFmtId="38" fontId="1" fillId="0" borderId="49" xfId="48" applyFont="1" applyBorder="1" applyAlignment="1">
      <alignment vertical="center"/>
    </xf>
    <xf numFmtId="38" fontId="1" fillId="0" borderId="29" xfId="48" applyFont="1" applyBorder="1" applyAlignment="1">
      <alignment vertical="center"/>
    </xf>
    <xf numFmtId="38" fontId="1" fillId="0" borderId="30" xfId="48" applyFont="1" applyBorder="1" applyAlignment="1">
      <alignment vertical="center"/>
    </xf>
    <xf numFmtId="38" fontId="1" fillId="0" borderId="39" xfId="48" applyFont="1" applyBorder="1" applyAlignment="1">
      <alignment vertical="center"/>
    </xf>
    <xf numFmtId="176" fontId="1" fillId="0" borderId="31" xfId="48" applyNumberFormat="1" applyFont="1" applyBorder="1" applyAlignment="1">
      <alignment vertical="center"/>
    </xf>
    <xf numFmtId="177" fontId="1" fillId="0" borderId="49" xfId="48" applyNumberFormat="1" applyFont="1" applyBorder="1" applyAlignment="1">
      <alignment vertical="center"/>
    </xf>
    <xf numFmtId="38" fontId="1" fillId="0" borderId="31" xfId="48" applyFont="1" applyBorder="1" applyAlignment="1">
      <alignment vertical="center"/>
    </xf>
    <xf numFmtId="38" fontId="1" fillId="0" borderId="66" xfId="48" applyFont="1" applyBorder="1" applyAlignment="1">
      <alignment vertical="center"/>
    </xf>
    <xf numFmtId="38" fontId="1" fillId="0" borderId="67" xfId="48" applyFont="1" applyBorder="1" applyAlignment="1">
      <alignment vertical="center"/>
    </xf>
    <xf numFmtId="38" fontId="1" fillId="0" borderId="68" xfId="48" applyFont="1" applyBorder="1" applyAlignment="1">
      <alignment vertical="center"/>
    </xf>
    <xf numFmtId="38" fontId="1" fillId="0" borderId="69" xfId="48" applyFont="1" applyBorder="1" applyAlignment="1">
      <alignment vertical="center"/>
    </xf>
    <xf numFmtId="38" fontId="1" fillId="0" borderId="70" xfId="48" applyFont="1" applyBorder="1" applyAlignment="1">
      <alignment vertical="center"/>
    </xf>
    <xf numFmtId="38" fontId="1" fillId="0" borderId="71" xfId="48" applyFont="1" applyBorder="1" applyAlignment="1">
      <alignment vertical="center"/>
    </xf>
    <xf numFmtId="38" fontId="1" fillId="0" borderId="72" xfId="48" applyFont="1" applyBorder="1" applyAlignment="1">
      <alignment vertical="center"/>
    </xf>
    <xf numFmtId="38" fontId="1" fillId="0" borderId="73" xfId="48" applyFont="1" applyBorder="1" applyAlignment="1">
      <alignment vertical="center"/>
    </xf>
    <xf numFmtId="38" fontId="1" fillId="0" borderId="45" xfId="48" applyFont="1" applyBorder="1" applyAlignment="1">
      <alignment vertical="center"/>
    </xf>
    <xf numFmtId="38" fontId="1" fillId="0" borderId="52" xfId="48" applyFont="1" applyBorder="1" applyAlignment="1">
      <alignment vertical="center"/>
    </xf>
    <xf numFmtId="38" fontId="1" fillId="0" borderId="53" xfId="48" applyFont="1" applyBorder="1" applyAlignment="1">
      <alignment vertical="center"/>
    </xf>
    <xf numFmtId="9" fontId="1" fillId="0" borderId="18" xfId="42" applyFont="1" applyBorder="1" applyAlignment="1">
      <alignment vertical="center"/>
    </xf>
    <xf numFmtId="38" fontId="1" fillId="0" borderId="55" xfId="48" applyFont="1" applyBorder="1" applyAlignment="1">
      <alignment horizontal="right" vertical="center"/>
    </xf>
    <xf numFmtId="9" fontId="1" fillId="0" borderId="23" xfId="42" applyFont="1" applyBorder="1" applyAlignment="1">
      <alignment vertical="center"/>
    </xf>
    <xf numFmtId="9" fontId="1" fillId="0" borderId="19" xfId="42" applyFont="1" applyBorder="1" applyAlignment="1">
      <alignment vertical="center"/>
    </xf>
    <xf numFmtId="9" fontId="1" fillId="0" borderId="24" xfId="42" applyFont="1" applyBorder="1" applyAlignment="1">
      <alignment vertical="center"/>
    </xf>
    <xf numFmtId="9" fontId="1" fillId="0" borderId="12" xfId="42" applyFont="1" applyBorder="1" applyAlignment="1">
      <alignment vertical="center"/>
    </xf>
    <xf numFmtId="9" fontId="1" fillId="0" borderId="0" xfId="42" applyFont="1" applyAlignment="1">
      <alignment vertical="center"/>
    </xf>
    <xf numFmtId="176" fontId="1" fillId="0" borderId="74" xfId="48" applyNumberFormat="1" applyFont="1" applyBorder="1" applyAlignment="1">
      <alignment vertical="center"/>
    </xf>
    <xf numFmtId="176" fontId="1" fillId="0" borderId="74" xfId="48" applyNumberFormat="1" applyFont="1" applyBorder="1" applyAlignment="1">
      <alignment vertical="center"/>
    </xf>
    <xf numFmtId="38" fontId="1" fillId="34" borderId="12" xfId="48" applyFont="1" applyFill="1" applyBorder="1" applyAlignment="1">
      <alignment vertical="center"/>
    </xf>
    <xf numFmtId="38" fontId="1" fillId="34" borderId="12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0" fontId="0" fillId="34" borderId="0" xfId="0" applyFill="1" applyAlignment="1">
      <alignment vertical="center"/>
    </xf>
    <xf numFmtId="38" fontId="0" fillId="34" borderId="0" xfId="48" applyFont="1" applyFill="1" applyAlignment="1">
      <alignment vertical="center"/>
    </xf>
    <xf numFmtId="38" fontId="1" fillId="34" borderId="0" xfId="48" applyFont="1" applyFill="1" applyBorder="1" applyAlignment="1">
      <alignment vertical="center"/>
    </xf>
    <xf numFmtId="10" fontId="1" fillId="0" borderId="19" xfId="42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D16" sqref="D16:G16"/>
    </sheetView>
  </sheetViews>
  <sheetFormatPr defaultColWidth="9.140625" defaultRowHeight="15"/>
  <cols>
    <col min="1" max="1" width="3.00390625" style="0" customWidth="1"/>
    <col min="2" max="14" width="10.421875" style="0" customWidth="1"/>
  </cols>
  <sheetData>
    <row r="1" ht="13.5">
      <c r="A1" t="s">
        <v>35</v>
      </c>
    </row>
    <row r="2" spans="7:8" ht="14.25" thickBot="1">
      <c r="G2" s="3"/>
      <c r="H2" t="s">
        <v>44</v>
      </c>
    </row>
    <row r="3" spans="2:9" ht="13.5">
      <c r="B3" s="18" t="s">
        <v>0</v>
      </c>
      <c r="C3" s="91" t="s">
        <v>19</v>
      </c>
      <c r="D3" s="66" t="s">
        <v>20</v>
      </c>
      <c r="E3" s="99" t="s">
        <v>21</v>
      </c>
      <c r="F3" s="4"/>
      <c r="G3" s="4"/>
      <c r="H3" s="4"/>
      <c r="I3" s="4"/>
    </row>
    <row r="4" spans="2:9" ht="14.25" thickBot="1">
      <c r="B4" s="20"/>
      <c r="C4" s="92" t="s">
        <v>27</v>
      </c>
      <c r="D4" s="70" t="s">
        <v>27</v>
      </c>
      <c r="E4" s="100" t="s">
        <v>28</v>
      </c>
      <c r="F4" s="4"/>
      <c r="G4" s="4"/>
      <c r="H4" s="4"/>
      <c r="I4" s="4"/>
    </row>
    <row r="5" spans="2:12" ht="14.25" thickBot="1">
      <c r="B5" s="20"/>
      <c r="C5" s="101">
        <v>2200</v>
      </c>
      <c r="D5" s="102">
        <v>1000</v>
      </c>
      <c r="E5" s="103">
        <f>(D5-C5)/8760</f>
        <v>-0.136986301369863</v>
      </c>
      <c r="L5" s="2"/>
    </row>
    <row r="6" ht="14.25" thickBot="1"/>
    <row r="7" spans="2:7" ht="13.5">
      <c r="B7" s="18" t="s">
        <v>1</v>
      </c>
      <c r="C7" s="91" t="s">
        <v>5</v>
      </c>
      <c r="D7" s="8" t="s">
        <v>6</v>
      </c>
      <c r="E7" s="95"/>
      <c r="F7" s="86"/>
      <c r="G7" s="87"/>
    </row>
    <row r="8" spans="2:7" ht="14.25" thickBot="1">
      <c r="B8" s="20"/>
      <c r="C8" s="92" t="s">
        <v>29</v>
      </c>
      <c r="D8" s="17" t="s">
        <v>30</v>
      </c>
      <c r="E8" s="96" t="s">
        <v>23</v>
      </c>
      <c r="F8" s="13"/>
      <c r="G8" s="16"/>
    </row>
    <row r="9" spans="2:7" ht="13.5">
      <c r="B9" s="21" t="s">
        <v>2</v>
      </c>
      <c r="C9" s="93">
        <v>24000</v>
      </c>
      <c r="D9" s="89">
        <v>2</v>
      </c>
      <c r="E9" s="97" t="s">
        <v>22</v>
      </c>
      <c r="F9" s="88">
        <v>8760</v>
      </c>
      <c r="G9" s="12" t="s">
        <v>52</v>
      </c>
    </row>
    <row r="10" spans="2:7" ht="13.5">
      <c r="B10" s="21" t="s">
        <v>3</v>
      </c>
      <c r="C10" s="93">
        <v>16000</v>
      </c>
      <c r="D10" s="89">
        <v>3.5</v>
      </c>
      <c r="E10" s="97" t="s">
        <v>22</v>
      </c>
      <c r="F10" s="9">
        <f>(C9-C10)/(D10-D9)</f>
        <v>5333.333333333333</v>
      </c>
      <c r="G10" s="12" t="s">
        <v>53</v>
      </c>
    </row>
    <row r="11" spans="2:7" ht="13.5">
      <c r="B11" s="21" t="s">
        <v>4</v>
      </c>
      <c r="C11" s="93">
        <v>8000</v>
      </c>
      <c r="D11" s="89">
        <v>8</v>
      </c>
      <c r="E11" s="97" t="s">
        <v>22</v>
      </c>
      <c r="F11" s="9">
        <f>(C10-C11)/(D11-D10)</f>
        <v>1777.7777777777778</v>
      </c>
      <c r="G11" s="12" t="s">
        <v>54</v>
      </c>
    </row>
    <row r="12" spans="2:8" ht="14.25" thickBot="1">
      <c r="B12" s="22" t="s">
        <v>15</v>
      </c>
      <c r="C12" s="94">
        <v>0</v>
      </c>
      <c r="D12" s="90">
        <v>400</v>
      </c>
      <c r="E12" s="98" t="s">
        <v>22</v>
      </c>
      <c r="F12" s="152">
        <v>0</v>
      </c>
      <c r="G12" s="16" t="s">
        <v>55</v>
      </c>
      <c r="H12" t="s">
        <v>43</v>
      </c>
    </row>
    <row r="13" ht="14.25" thickBot="1">
      <c r="C13" s="1"/>
    </row>
    <row r="14" spans="2:13" ht="13.5">
      <c r="B14" s="18" t="s">
        <v>33</v>
      </c>
      <c r="C14" s="23" t="s">
        <v>7</v>
      </c>
      <c r="D14" s="60" t="s">
        <v>8</v>
      </c>
      <c r="E14" s="66"/>
      <c r="F14" s="66"/>
      <c r="G14" s="67"/>
      <c r="H14" s="31"/>
      <c r="I14" s="39" t="s">
        <v>10</v>
      </c>
      <c r="J14" s="40" t="s">
        <v>11</v>
      </c>
      <c r="K14" s="60" t="s">
        <v>26</v>
      </c>
      <c r="L14" s="55"/>
      <c r="M14" s="41" t="s">
        <v>12</v>
      </c>
    </row>
    <row r="15" spans="2:13" ht="13.5">
      <c r="B15" s="19" t="s">
        <v>34</v>
      </c>
      <c r="C15" s="24" t="s">
        <v>27</v>
      </c>
      <c r="D15" s="61" t="s">
        <v>31</v>
      </c>
      <c r="E15" s="68"/>
      <c r="F15" s="68"/>
      <c r="G15" s="69"/>
      <c r="H15" s="32"/>
      <c r="I15" s="42" t="s">
        <v>32</v>
      </c>
      <c r="J15" s="43" t="s">
        <v>32</v>
      </c>
      <c r="K15" s="61" t="s">
        <v>32</v>
      </c>
      <c r="L15" s="56" t="s">
        <v>29</v>
      </c>
      <c r="M15" s="44" t="s">
        <v>30</v>
      </c>
    </row>
    <row r="16" spans="2:13" ht="14.25" thickBot="1">
      <c r="B16" s="20"/>
      <c r="C16" s="25"/>
      <c r="D16" s="62" t="s">
        <v>56</v>
      </c>
      <c r="E16" s="70" t="s">
        <v>57</v>
      </c>
      <c r="F16" s="70" t="s">
        <v>58</v>
      </c>
      <c r="G16" s="71" t="s">
        <v>59</v>
      </c>
      <c r="H16" s="33" t="s">
        <v>9</v>
      </c>
      <c r="I16" s="45"/>
      <c r="J16" s="46"/>
      <c r="K16" s="62"/>
      <c r="L16" s="57"/>
      <c r="M16" s="47"/>
    </row>
    <row r="17" spans="2:13" ht="13.5">
      <c r="B17" s="21" t="s">
        <v>2</v>
      </c>
      <c r="C17" s="26">
        <f>D5-E5*(F9-F10)</f>
        <v>1469.406392694064</v>
      </c>
      <c r="D17" s="64">
        <f>(C17+D5)*(F9-F10)/2/10000</f>
        <v>423.09162861491626</v>
      </c>
      <c r="E17" s="72">
        <f>C17*(F10-F11)/10000</f>
        <v>522.4556062912227</v>
      </c>
      <c r="F17" s="72">
        <f>C17*(F$11-F$12)/10000</f>
        <v>261.2278031456114</v>
      </c>
      <c r="G17" s="73">
        <f>C17*F$12/10000</f>
        <v>0</v>
      </c>
      <c r="H17" s="113">
        <f>SUM(D17:G17)</f>
        <v>1206.7750380517505</v>
      </c>
      <c r="I17" s="48">
        <f>D17*D$24+E17*E$24+F17*F$24+G17*G$24</f>
        <v>4764.600304414003</v>
      </c>
      <c r="J17" s="49">
        <f>C17*C9/10000+D9*H17</f>
        <v>5940.125418569254</v>
      </c>
      <c r="K17" s="63">
        <f>I17-J17</f>
        <v>-1175.5251141552508</v>
      </c>
      <c r="L17" s="58">
        <f>K17/C17*10000</f>
        <v>-7999.999999999997</v>
      </c>
      <c r="M17" s="50">
        <f>J17/H17</f>
        <v>4.922313796081786</v>
      </c>
    </row>
    <row r="18" spans="2:13" ht="13.5">
      <c r="B18" s="21" t="s">
        <v>3</v>
      </c>
      <c r="C18" s="26">
        <f>-E$5*(F10-F11)</f>
        <v>487.062404870624</v>
      </c>
      <c r="D18" s="74">
        <v>0</v>
      </c>
      <c r="E18" s="72">
        <f>C18*(F10-F11)/2/10000</f>
        <v>86.58887197699981</v>
      </c>
      <c r="F18" s="72">
        <f>C18*(F$11-F$12)/10000</f>
        <v>86.58887197699983</v>
      </c>
      <c r="G18" s="73">
        <f>C18*F$12/10000</f>
        <v>0</v>
      </c>
      <c r="H18" s="34">
        <f>SUM(D18:G18)</f>
        <v>173.17774395399965</v>
      </c>
      <c r="I18" s="48">
        <f>D18*D$24+E18*E$24+F18*F$24+G18*G$24</f>
        <v>995.7720277354979</v>
      </c>
      <c r="J18" s="49">
        <f>C18*C10/10000+D10*H18</f>
        <v>1385.4219516319972</v>
      </c>
      <c r="K18" s="63">
        <f>I18-J18</f>
        <v>-389.64992389649933</v>
      </c>
      <c r="L18" s="58">
        <f>K18/C18*10000</f>
        <v>-8000.000000000003</v>
      </c>
      <c r="M18" s="50">
        <f>J18/H18</f>
        <v>8</v>
      </c>
    </row>
    <row r="19" spans="2:13" ht="13.5">
      <c r="B19" s="21" t="s">
        <v>4</v>
      </c>
      <c r="C19" s="26">
        <f>-E$5*(F11-F12)</f>
        <v>243.53120243531203</v>
      </c>
      <c r="D19" s="74">
        <v>0</v>
      </c>
      <c r="E19" s="72">
        <v>0</v>
      </c>
      <c r="F19" s="72">
        <f>C19*(F11-F12)/2/10000</f>
        <v>21.64721799424996</v>
      </c>
      <c r="G19" s="75">
        <f>C19*F$12/10000</f>
        <v>0</v>
      </c>
      <c r="H19" s="34">
        <f>SUM(D19:G19)</f>
        <v>21.64721799424996</v>
      </c>
      <c r="I19" s="48">
        <f>D19*D$24+E19*E$24+F19*F$24+G19*G$24</f>
        <v>173.17774395399968</v>
      </c>
      <c r="J19" s="49">
        <f>C19*C11/10000+D11*H19</f>
        <v>368.0027059022493</v>
      </c>
      <c r="K19" s="63">
        <f>I19-J19</f>
        <v>-194.82496194824964</v>
      </c>
      <c r="L19" s="58">
        <f>K19/C19*10000</f>
        <v>-8000</v>
      </c>
      <c r="M19" s="50">
        <f>J19/H19</f>
        <v>17</v>
      </c>
    </row>
    <row r="20" spans="2:13" ht="13.5">
      <c r="B20" s="21" t="s">
        <v>15</v>
      </c>
      <c r="C20" s="26">
        <f>-E$5*(F12-C13)</f>
        <v>0</v>
      </c>
      <c r="D20" s="74">
        <v>0</v>
      </c>
      <c r="E20" s="72">
        <v>0</v>
      </c>
      <c r="F20" s="72">
        <v>0</v>
      </c>
      <c r="G20" s="75">
        <f>C20*F12/2/10000</f>
        <v>0</v>
      </c>
      <c r="H20" s="35">
        <f>SUM(D20:G20)</f>
        <v>0</v>
      </c>
      <c r="I20" s="48">
        <f>D20*D$24+E20*E$24+F20*F$24+G20*G$24</f>
        <v>0</v>
      </c>
      <c r="J20" s="49">
        <f>C20*C12/10000+D12*H20</f>
        <v>0</v>
      </c>
      <c r="K20" s="63">
        <f>I20-J20</f>
        <v>0</v>
      </c>
      <c r="L20" s="58"/>
      <c r="M20" s="51"/>
    </row>
    <row r="21" spans="2:13" ht="13.5">
      <c r="B21" s="104" t="s">
        <v>24</v>
      </c>
      <c r="C21" s="105">
        <f>SUM(C17:C20)</f>
        <v>2200</v>
      </c>
      <c r="D21" s="106">
        <f aca="true" t="shared" si="0" ref="D21:K21">SUM(D17:D20)</f>
        <v>423.09162861491626</v>
      </c>
      <c r="E21" s="107">
        <f t="shared" si="0"/>
        <v>609.0444782682225</v>
      </c>
      <c r="F21" s="107">
        <f t="shared" si="0"/>
        <v>369.4638931168612</v>
      </c>
      <c r="G21" s="108">
        <f t="shared" si="0"/>
        <v>0</v>
      </c>
      <c r="H21" s="109">
        <f t="shared" si="0"/>
        <v>1401.6000000000001</v>
      </c>
      <c r="I21" s="110">
        <f t="shared" si="0"/>
        <v>5933.550076103502</v>
      </c>
      <c r="J21" s="111">
        <f t="shared" si="0"/>
        <v>7693.550076103501</v>
      </c>
      <c r="K21" s="106">
        <f t="shared" si="0"/>
        <v>-1759.9999999999998</v>
      </c>
      <c r="L21" s="112">
        <f>K21/C21*10000</f>
        <v>-7999.999999999999</v>
      </c>
      <c r="M21" s="150">
        <f>J21/H21</f>
        <v>5.48911963192316</v>
      </c>
    </row>
    <row r="22" spans="2:13" ht="13.5">
      <c r="B22" s="29" t="s">
        <v>13</v>
      </c>
      <c r="C22" s="30"/>
      <c r="D22" s="76"/>
      <c r="E22" s="77"/>
      <c r="F22" s="77"/>
      <c r="G22" s="78"/>
      <c r="H22" s="36"/>
      <c r="I22" s="52"/>
      <c r="J22" s="53"/>
      <c r="K22" s="65"/>
      <c r="L22" s="59"/>
      <c r="M22" s="54"/>
    </row>
    <row r="23" spans="2:13" ht="13.5">
      <c r="B23" s="21" t="s">
        <v>2</v>
      </c>
      <c r="C23" s="27">
        <f>C17/C$21</f>
        <v>0.6679119966791199</v>
      </c>
      <c r="D23" s="85" t="s">
        <v>25</v>
      </c>
      <c r="E23" s="84" t="s">
        <v>30</v>
      </c>
      <c r="F23" s="72"/>
      <c r="G23" s="73"/>
      <c r="H23" s="37">
        <f>H17/H$21</f>
        <v>0.8609981721259634</v>
      </c>
      <c r="I23" s="11"/>
      <c r="J23" s="11"/>
      <c r="K23" s="11"/>
      <c r="L23" s="11"/>
      <c r="M23" s="12"/>
    </row>
    <row r="24" spans="2:13" ht="13.5">
      <c r="B24" s="21" t="s">
        <v>3</v>
      </c>
      <c r="C24" s="27">
        <f>C18/C$21</f>
        <v>0.22139200221392</v>
      </c>
      <c r="D24" s="74">
        <f>D9</f>
        <v>2</v>
      </c>
      <c r="E24" s="79">
        <f>D10</f>
        <v>3.5</v>
      </c>
      <c r="F24" s="79">
        <f>D11</f>
        <v>8</v>
      </c>
      <c r="G24" s="80">
        <f>D12</f>
        <v>400</v>
      </c>
      <c r="H24" s="37">
        <f>H18/H$21</f>
        <v>0.12355718033247691</v>
      </c>
      <c r="I24" s="11"/>
      <c r="J24" s="10"/>
      <c r="K24" s="11"/>
      <c r="L24" s="11"/>
      <c r="M24" s="12"/>
    </row>
    <row r="25" spans="2:13" ht="13.5">
      <c r="B25" s="21" t="s">
        <v>4</v>
      </c>
      <c r="C25" s="27">
        <f>C19/C$21</f>
        <v>0.11069600110696001</v>
      </c>
      <c r="D25" s="74"/>
      <c r="E25" s="79"/>
      <c r="F25" s="79"/>
      <c r="G25" s="80"/>
      <c r="H25" s="37">
        <f>H19/H$21</f>
        <v>0.015444647541559615</v>
      </c>
      <c r="I25" s="11"/>
      <c r="J25" s="11"/>
      <c r="K25" s="11"/>
      <c r="L25" s="11"/>
      <c r="M25" s="12"/>
    </row>
    <row r="26" spans="2:13" ht="14.25" thickBot="1">
      <c r="B26" s="22" t="s">
        <v>15</v>
      </c>
      <c r="C26" s="28">
        <f>C20/C$21</f>
        <v>0</v>
      </c>
      <c r="D26" s="81"/>
      <c r="E26" s="82"/>
      <c r="F26" s="82"/>
      <c r="G26" s="83"/>
      <c r="H26" s="38">
        <f>H20/H$21</f>
        <v>0</v>
      </c>
      <c r="I26" s="13"/>
      <c r="J26" s="14"/>
      <c r="K26" s="15"/>
      <c r="L26" s="13"/>
      <c r="M26" s="16"/>
    </row>
    <row r="27" spans="10:11" ht="13.5">
      <c r="J27" s="5"/>
      <c r="K27" s="6"/>
    </row>
    <row r="28" spans="4:11" ht="13.5">
      <c r="D28" s="2"/>
      <c r="K28" s="5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D16" sqref="D16:G16"/>
    </sheetView>
  </sheetViews>
  <sheetFormatPr defaultColWidth="9.140625" defaultRowHeight="15"/>
  <cols>
    <col min="1" max="1" width="3.00390625" style="0" customWidth="1"/>
    <col min="2" max="14" width="10.421875" style="0" customWidth="1"/>
  </cols>
  <sheetData>
    <row r="1" ht="13.5">
      <c r="A1" t="s">
        <v>41</v>
      </c>
    </row>
    <row r="2" spans="7:8" ht="14.25" thickBot="1">
      <c r="G2" s="3"/>
      <c r="H2" t="s">
        <v>44</v>
      </c>
    </row>
    <row r="3" spans="2:9" ht="13.5">
      <c r="B3" s="18" t="s">
        <v>0</v>
      </c>
      <c r="C3" s="91" t="s">
        <v>19</v>
      </c>
      <c r="D3" s="66" t="s">
        <v>20</v>
      </c>
      <c r="E3" s="99" t="s">
        <v>21</v>
      </c>
      <c r="F3" s="4"/>
      <c r="G3" s="4"/>
      <c r="H3" s="4"/>
      <c r="I3" s="4"/>
    </row>
    <row r="4" spans="2:9" ht="14.25" thickBot="1">
      <c r="B4" s="20"/>
      <c r="C4" s="92" t="s">
        <v>27</v>
      </c>
      <c r="D4" s="70" t="s">
        <v>27</v>
      </c>
      <c r="E4" s="100" t="s">
        <v>28</v>
      </c>
      <c r="F4" s="4"/>
      <c r="G4" s="4"/>
      <c r="H4" s="4"/>
      <c r="I4" s="4"/>
    </row>
    <row r="5" spans="2:12" ht="14.25" thickBot="1">
      <c r="B5" s="20"/>
      <c r="C5" s="114">
        <v>2200</v>
      </c>
      <c r="D5" s="115">
        <v>1000</v>
      </c>
      <c r="E5" s="103">
        <f>(D5-C5)/8760</f>
        <v>-0.136986301369863</v>
      </c>
      <c r="L5" s="2"/>
    </row>
    <row r="6" ht="14.25" thickBot="1"/>
    <row r="7" spans="2:7" ht="13.5">
      <c r="B7" s="18" t="s">
        <v>1</v>
      </c>
      <c r="C7" s="91" t="s">
        <v>5</v>
      </c>
      <c r="D7" s="8" t="s">
        <v>6</v>
      </c>
      <c r="E7" s="95"/>
      <c r="F7" s="86"/>
      <c r="G7" s="87"/>
    </row>
    <row r="8" spans="2:7" ht="14.25" thickBot="1">
      <c r="B8" s="20"/>
      <c r="C8" s="92" t="s">
        <v>29</v>
      </c>
      <c r="D8" s="17" t="s">
        <v>30</v>
      </c>
      <c r="E8" s="96" t="s">
        <v>37</v>
      </c>
      <c r="F8" s="13"/>
      <c r="G8" s="16"/>
    </row>
    <row r="9" spans="2:7" ht="13.5">
      <c r="B9" s="21" t="s">
        <v>16</v>
      </c>
      <c r="C9" s="116">
        <v>24000</v>
      </c>
      <c r="D9" s="89">
        <v>2</v>
      </c>
      <c r="E9" s="97" t="s">
        <v>38</v>
      </c>
      <c r="F9" s="117">
        <v>8760</v>
      </c>
      <c r="G9" s="12" t="s">
        <v>52</v>
      </c>
    </row>
    <row r="10" spans="2:7" ht="13.5">
      <c r="B10" s="21" t="s">
        <v>17</v>
      </c>
      <c r="C10" s="116">
        <v>16000</v>
      </c>
      <c r="D10" s="89">
        <v>3.5</v>
      </c>
      <c r="E10" s="97" t="s">
        <v>38</v>
      </c>
      <c r="F10" s="118">
        <f>(C9-C10)/(D10-D9)</f>
        <v>5333.333333333333</v>
      </c>
      <c r="G10" s="12" t="s">
        <v>53</v>
      </c>
    </row>
    <row r="11" spans="2:7" ht="13.5">
      <c r="B11" s="21" t="s">
        <v>18</v>
      </c>
      <c r="C11" s="116">
        <v>8000</v>
      </c>
      <c r="D11" s="89">
        <v>8</v>
      </c>
      <c r="E11" s="97" t="s">
        <v>38</v>
      </c>
      <c r="F11" s="118">
        <f>(C10-C11)/(D11-D10)</f>
        <v>1777.7777777777778</v>
      </c>
      <c r="G11" s="12" t="s">
        <v>54</v>
      </c>
    </row>
    <row r="12" spans="2:7" ht="14.25" thickBot="1">
      <c r="B12" s="22" t="s">
        <v>39</v>
      </c>
      <c r="C12" s="94">
        <v>0</v>
      </c>
      <c r="D12" s="90">
        <v>400</v>
      </c>
      <c r="E12" s="98" t="s">
        <v>38</v>
      </c>
      <c r="F12" s="119">
        <f>(C11-C12)/(D12-D11)</f>
        <v>20.408163265306122</v>
      </c>
      <c r="G12" s="16" t="s">
        <v>55</v>
      </c>
    </row>
    <row r="13" ht="14.25" thickBot="1">
      <c r="C13" s="7"/>
    </row>
    <row r="14" spans="2:13" ht="13.5">
      <c r="B14" s="18" t="s">
        <v>33</v>
      </c>
      <c r="C14" s="120" t="s">
        <v>7</v>
      </c>
      <c r="D14" s="60" t="s">
        <v>8</v>
      </c>
      <c r="E14" s="66"/>
      <c r="F14" s="66"/>
      <c r="G14" s="67"/>
      <c r="H14" s="31"/>
      <c r="I14" s="39" t="s">
        <v>10</v>
      </c>
      <c r="J14" s="40" t="s">
        <v>11</v>
      </c>
      <c r="K14" s="60" t="s">
        <v>26</v>
      </c>
      <c r="L14" s="55"/>
      <c r="M14" s="41" t="s">
        <v>12</v>
      </c>
    </row>
    <row r="15" spans="2:13" ht="13.5">
      <c r="B15" s="19" t="s">
        <v>40</v>
      </c>
      <c r="C15" s="24" t="s">
        <v>27</v>
      </c>
      <c r="D15" s="61" t="s">
        <v>31</v>
      </c>
      <c r="E15" s="68"/>
      <c r="F15" s="68"/>
      <c r="G15" s="69"/>
      <c r="H15" s="32"/>
      <c r="I15" s="42" t="s">
        <v>32</v>
      </c>
      <c r="J15" s="43" t="s">
        <v>32</v>
      </c>
      <c r="K15" s="61" t="s">
        <v>32</v>
      </c>
      <c r="L15" s="56" t="s">
        <v>29</v>
      </c>
      <c r="M15" s="44" t="s">
        <v>30</v>
      </c>
    </row>
    <row r="16" spans="2:13" ht="14.25" thickBot="1">
      <c r="B16" s="20"/>
      <c r="C16" s="121"/>
      <c r="D16" s="62" t="s">
        <v>56</v>
      </c>
      <c r="E16" s="70" t="s">
        <v>57</v>
      </c>
      <c r="F16" s="70" t="s">
        <v>58</v>
      </c>
      <c r="G16" s="71" t="s">
        <v>59</v>
      </c>
      <c r="H16" s="33" t="s">
        <v>9</v>
      </c>
      <c r="I16" s="45"/>
      <c r="J16" s="46"/>
      <c r="K16" s="62"/>
      <c r="L16" s="57"/>
      <c r="M16" s="47"/>
    </row>
    <row r="17" spans="2:13" ht="13.5">
      <c r="B17" s="21" t="s">
        <v>16</v>
      </c>
      <c r="C17" s="122">
        <f>D5-E5*(F9-F10)</f>
        <v>1469.406392694064</v>
      </c>
      <c r="D17" s="123">
        <f>(C17+D5)*(F9-F10)/2/10000</f>
        <v>423.09162861491626</v>
      </c>
      <c r="E17" s="124">
        <f>C17*(F10-F11)/10000</f>
        <v>522.4556062912227</v>
      </c>
      <c r="F17" s="124">
        <f>C17*(F$11-F$12)/10000</f>
        <v>258.22901458909286</v>
      </c>
      <c r="G17" s="125">
        <f>C17*F$12/10000</f>
        <v>2.9987885565184977</v>
      </c>
      <c r="H17" s="113">
        <f>SUM(D17:G17)</f>
        <v>1206.7750380517505</v>
      </c>
      <c r="I17" s="126">
        <f>D17*D$24+E17*E$24+F17*F$24+G17*G$24</f>
        <v>5940.125418569254</v>
      </c>
      <c r="J17" s="127">
        <f>C17*C9/10000+D9*H17</f>
        <v>5940.125418569254</v>
      </c>
      <c r="K17" s="63">
        <f>I17-J17</f>
        <v>0</v>
      </c>
      <c r="L17" s="128">
        <f>K17/C17*10000</f>
        <v>0</v>
      </c>
      <c r="M17" s="129">
        <f>J17/H17</f>
        <v>4.922313796081786</v>
      </c>
    </row>
    <row r="18" spans="2:13" ht="13.5">
      <c r="B18" s="21" t="s">
        <v>17</v>
      </c>
      <c r="C18" s="122">
        <f>-E$5*(F10-F11)</f>
        <v>487.062404870624</v>
      </c>
      <c r="D18" s="74">
        <v>0</v>
      </c>
      <c r="E18" s="124">
        <f>C18*(F10-F11)/2/10000</f>
        <v>86.58887197699981</v>
      </c>
      <c r="F18" s="124">
        <f>C18*(F$11-F$12)/10000</f>
        <v>85.5948670691006</v>
      </c>
      <c r="G18" s="125">
        <f>C18*F$12/10000</f>
        <v>0.9940049078992326</v>
      </c>
      <c r="H18" s="34">
        <f>SUM(D18:G18)</f>
        <v>173.17774395399965</v>
      </c>
      <c r="I18" s="126">
        <f>D18*D$24+E18*E$24+F18*F$24+G18*G$24</f>
        <v>1385.4219516319972</v>
      </c>
      <c r="J18" s="127">
        <f>C18*C10/10000+D10*H18</f>
        <v>1385.4219516319972</v>
      </c>
      <c r="K18" s="63">
        <f>I18-J18</f>
        <v>0</v>
      </c>
      <c r="L18" s="128">
        <f>K18/C18*10000</f>
        <v>0</v>
      </c>
      <c r="M18" s="129">
        <f>J18/H18</f>
        <v>8</v>
      </c>
    </row>
    <row r="19" spans="2:13" ht="13.5">
      <c r="B19" s="21" t="s">
        <v>18</v>
      </c>
      <c r="C19" s="122">
        <f>-E$5*(F11-F12)</f>
        <v>240.73556363184545</v>
      </c>
      <c r="D19" s="74">
        <v>0</v>
      </c>
      <c r="E19" s="124">
        <v>0</v>
      </c>
      <c r="F19" s="124">
        <f>C19*(F11-F12)/2/10000</f>
        <v>21.15306823295694</v>
      </c>
      <c r="G19" s="130">
        <f>C19*F$12/10000</f>
        <v>0.4912970686364193</v>
      </c>
      <c r="H19" s="34">
        <f>SUM(D19:G19)</f>
        <v>21.64436530159336</v>
      </c>
      <c r="I19" s="126">
        <f>D19*D$24+E19*E$24+F19*F$24+G19*G$24</f>
        <v>365.74337331822323</v>
      </c>
      <c r="J19" s="127">
        <f>C19*C11/10000+D11*H19</f>
        <v>365.74337331822323</v>
      </c>
      <c r="K19" s="63">
        <f>I19-J19</f>
        <v>0</v>
      </c>
      <c r="L19" s="128">
        <f>K19/C19*10000</f>
        <v>0</v>
      </c>
      <c r="M19" s="129">
        <f>J19/H19</f>
        <v>16.897856242118536</v>
      </c>
    </row>
    <row r="20" spans="2:13" ht="13.5">
      <c r="B20" s="21" t="s">
        <v>39</v>
      </c>
      <c r="C20" s="122">
        <f>-E$5*(F12-C13)</f>
        <v>2.7956388034665918</v>
      </c>
      <c r="D20" s="74">
        <v>0</v>
      </c>
      <c r="E20" s="124">
        <v>0</v>
      </c>
      <c r="F20" s="124">
        <v>0</v>
      </c>
      <c r="G20" s="130">
        <f>C20*F12/2/10000</f>
        <v>0.002852692656598563</v>
      </c>
      <c r="H20" s="35">
        <f>SUM(D20:G20)</f>
        <v>0.002852692656598563</v>
      </c>
      <c r="I20" s="126">
        <f>D20*D$24+E20*E$24+F20*F$24+G20*G$24</f>
        <v>1.141077062639425</v>
      </c>
      <c r="J20" s="127">
        <f>C20*C12/10000+D12*H20</f>
        <v>1.141077062639425</v>
      </c>
      <c r="K20" s="63">
        <f>I20-J20</f>
        <v>0</v>
      </c>
      <c r="L20" s="128">
        <f>K20/C20*10000</f>
        <v>0</v>
      </c>
      <c r="M20" s="131">
        <f>J20/H20</f>
        <v>400</v>
      </c>
    </row>
    <row r="21" spans="2:13" ht="13.5">
      <c r="B21" s="104" t="s">
        <v>9</v>
      </c>
      <c r="C21" s="132">
        <f aca="true" t="shared" si="0" ref="C21:K21">SUM(C17:C20)</f>
        <v>2200</v>
      </c>
      <c r="D21" s="133">
        <f t="shared" si="0"/>
        <v>423.09162861491626</v>
      </c>
      <c r="E21" s="134">
        <f t="shared" si="0"/>
        <v>609.0444782682225</v>
      </c>
      <c r="F21" s="134">
        <f t="shared" si="0"/>
        <v>364.9769498911504</v>
      </c>
      <c r="G21" s="135">
        <f t="shared" si="0"/>
        <v>4.486943225710748</v>
      </c>
      <c r="H21" s="136">
        <f t="shared" si="0"/>
        <v>1401.6000000000001</v>
      </c>
      <c r="I21" s="137">
        <f t="shared" si="0"/>
        <v>7692.431820582115</v>
      </c>
      <c r="J21" s="138">
        <f t="shared" si="0"/>
        <v>7692.431820582115</v>
      </c>
      <c r="K21" s="133">
        <f t="shared" si="0"/>
        <v>0</v>
      </c>
      <c r="L21" s="139">
        <f>K21/C21*10000</f>
        <v>0</v>
      </c>
      <c r="M21" s="151">
        <f>J21/H21</f>
        <v>5.488321789798882</v>
      </c>
    </row>
    <row r="22" spans="2:13" ht="13.5">
      <c r="B22" s="29" t="s">
        <v>13</v>
      </c>
      <c r="C22" s="30"/>
      <c r="D22" s="140"/>
      <c r="E22" s="141"/>
      <c r="F22" s="141"/>
      <c r="G22" s="142"/>
      <c r="H22" s="36"/>
      <c r="I22" s="52"/>
      <c r="J22" s="53"/>
      <c r="K22" s="65"/>
      <c r="L22" s="59"/>
      <c r="M22" s="54"/>
    </row>
    <row r="23" spans="2:13" ht="13.5">
      <c r="B23" s="21" t="s">
        <v>16</v>
      </c>
      <c r="C23" s="143">
        <f>C17/C$21</f>
        <v>0.6679119966791199</v>
      </c>
      <c r="D23" s="144" t="s">
        <v>14</v>
      </c>
      <c r="E23" s="84" t="s">
        <v>30</v>
      </c>
      <c r="F23" s="124"/>
      <c r="G23" s="125"/>
      <c r="H23" s="145">
        <f>H17/H$21</f>
        <v>0.8609981721259634</v>
      </c>
      <c r="I23" s="11"/>
      <c r="J23" s="11"/>
      <c r="K23" s="11"/>
      <c r="L23" s="11"/>
      <c r="M23" s="12"/>
    </row>
    <row r="24" spans="2:13" ht="13.5">
      <c r="B24" s="21" t="s">
        <v>17</v>
      </c>
      <c r="C24" s="143">
        <f>C18/C$21</f>
        <v>0.22139200221392</v>
      </c>
      <c r="D24" s="74">
        <f>D9</f>
        <v>2</v>
      </c>
      <c r="E24" s="79">
        <f>D10</f>
        <v>3.5</v>
      </c>
      <c r="F24" s="79">
        <f>D11</f>
        <v>8</v>
      </c>
      <c r="G24" s="80">
        <f>D12</f>
        <v>400</v>
      </c>
      <c r="H24" s="145">
        <f>H18/H$21</f>
        <v>0.12355718033247691</v>
      </c>
      <c r="I24" s="11"/>
      <c r="J24" s="10"/>
      <c r="K24" s="11"/>
      <c r="L24" s="11"/>
      <c r="M24" s="12"/>
    </row>
    <row r="25" spans="2:13" ht="13.5">
      <c r="B25" s="21" t="s">
        <v>18</v>
      </c>
      <c r="C25" s="143">
        <f>C19/C$21</f>
        <v>0.10942525619629338</v>
      </c>
      <c r="D25" s="74"/>
      <c r="E25" s="79"/>
      <c r="F25" s="79"/>
      <c r="G25" s="80"/>
      <c r="H25" s="145">
        <f>H19/H$21</f>
        <v>0.015442612230018093</v>
      </c>
      <c r="I25" s="11"/>
      <c r="J25" s="11"/>
      <c r="K25" s="11"/>
      <c r="L25" s="11"/>
      <c r="M25" s="12"/>
    </row>
    <row r="26" spans="2:13" ht="14.25" thickBot="1">
      <c r="B26" s="22" t="s">
        <v>39</v>
      </c>
      <c r="C26" s="158">
        <f>C20/C$21</f>
        <v>0.0012707449106666327</v>
      </c>
      <c r="D26" s="81"/>
      <c r="E26" s="82"/>
      <c r="F26" s="82"/>
      <c r="G26" s="83"/>
      <c r="H26" s="147">
        <f>H20/H$21</f>
        <v>2.035311541522947E-06</v>
      </c>
      <c r="I26" s="13"/>
      <c r="J26" s="119"/>
      <c r="K26" s="148"/>
      <c r="L26" s="13"/>
      <c r="M26" s="16"/>
    </row>
    <row r="27" spans="10:11" ht="13.5">
      <c r="J27" s="7"/>
      <c r="K27" s="149"/>
    </row>
    <row r="28" spans="4:11" ht="13.5">
      <c r="D28" s="2"/>
      <c r="K28" s="7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2">
      <selection activeCell="D16" sqref="D16:G16"/>
    </sheetView>
  </sheetViews>
  <sheetFormatPr defaultColWidth="9.140625" defaultRowHeight="15"/>
  <cols>
    <col min="1" max="1" width="3.00390625" style="0" customWidth="1"/>
    <col min="2" max="14" width="10.421875" style="0" customWidth="1"/>
  </cols>
  <sheetData>
    <row r="1" ht="13.5">
      <c r="A1" t="s">
        <v>42</v>
      </c>
    </row>
    <row r="2" spans="7:8" ht="14.25" thickBot="1">
      <c r="G2" s="3"/>
      <c r="H2" t="s">
        <v>44</v>
      </c>
    </row>
    <row r="3" spans="2:9" ht="13.5">
      <c r="B3" s="18" t="s">
        <v>0</v>
      </c>
      <c r="C3" s="91" t="s">
        <v>19</v>
      </c>
      <c r="D3" s="66" t="s">
        <v>20</v>
      </c>
      <c r="E3" s="99" t="s">
        <v>21</v>
      </c>
      <c r="F3" s="4"/>
      <c r="G3" s="4"/>
      <c r="H3" s="4"/>
      <c r="I3" s="4"/>
    </row>
    <row r="4" spans="2:9" ht="14.25" thickBot="1">
      <c r="B4" s="20"/>
      <c r="C4" s="92" t="s">
        <v>27</v>
      </c>
      <c r="D4" s="70" t="s">
        <v>27</v>
      </c>
      <c r="E4" s="100" t="s">
        <v>28</v>
      </c>
      <c r="F4" s="4"/>
      <c r="G4" s="4"/>
      <c r="H4" s="4"/>
      <c r="I4" s="4"/>
    </row>
    <row r="5" spans="2:12" ht="14.25" thickBot="1">
      <c r="B5" s="20"/>
      <c r="C5" s="114">
        <v>2200</v>
      </c>
      <c r="D5" s="115">
        <v>1000</v>
      </c>
      <c r="E5" s="103">
        <f>(D5-C5)/8760</f>
        <v>-0.136986301369863</v>
      </c>
      <c r="L5" s="2"/>
    </row>
    <row r="6" ht="14.25" thickBot="1"/>
    <row r="7" spans="2:7" ht="13.5">
      <c r="B7" s="18" t="s">
        <v>1</v>
      </c>
      <c r="C7" s="91" t="s">
        <v>5</v>
      </c>
      <c r="D7" s="8" t="s">
        <v>6</v>
      </c>
      <c r="E7" s="95"/>
      <c r="F7" s="86"/>
      <c r="G7" s="87"/>
    </row>
    <row r="8" spans="2:7" ht="14.25" thickBot="1">
      <c r="B8" s="20"/>
      <c r="C8" s="92" t="s">
        <v>29</v>
      </c>
      <c r="D8" s="17" t="s">
        <v>30</v>
      </c>
      <c r="E8" s="96" t="s">
        <v>37</v>
      </c>
      <c r="F8" s="13"/>
      <c r="G8" s="16"/>
    </row>
    <row r="9" spans="2:8" ht="13.5">
      <c r="B9" s="21" t="s">
        <v>16</v>
      </c>
      <c r="C9" s="116">
        <v>24000</v>
      </c>
      <c r="D9" s="89">
        <v>2</v>
      </c>
      <c r="E9" s="97" t="s">
        <v>38</v>
      </c>
      <c r="F9" s="117">
        <v>8760</v>
      </c>
      <c r="G9" s="12" t="s">
        <v>52</v>
      </c>
      <c r="H9" s="154"/>
    </row>
    <row r="10" spans="2:8" ht="13.5">
      <c r="B10" s="21" t="s">
        <v>17</v>
      </c>
      <c r="C10" s="116">
        <v>16000</v>
      </c>
      <c r="D10" s="89">
        <v>3.5</v>
      </c>
      <c r="E10" s="97" t="s">
        <v>38</v>
      </c>
      <c r="F10" s="118">
        <f>(C9-C10)/(D10-D9)</f>
        <v>5333.333333333333</v>
      </c>
      <c r="G10" s="12" t="s">
        <v>53</v>
      </c>
      <c r="H10" s="154"/>
    </row>
    <row r="11" spans="2:8" ht="13.5">
      <c r="B11" s="21" t="s">
        <v>18</v>
      </c>
      <c r="C11" s="116">
        <v>8000</v>
      </c>
      <c r="D11" s="89">
        <v>8</v>
      </c>
      <c r="E11" s="97" t="s">
        <v>38</v>
      </c>
      <c r="F11" s="118">
        <f>(C10-C11)/(D11-D10)</f>
        <v>1777.7777777777778</v>
      </c>
      <c r="G11" s="12" t="s">
        <v>54</v>
      </c>
      <c r="H11" s="154"/>
    </row>
    <row r="12" spans="2:7" ht="14.25" thickBot="1">
      <c r="B12" s="22" t="s">
        <v>39</v>
      </c>
      <c r="C12" s="94">
        <v>3000</v>
      </c>
      <c r="D12" s="90">
        <v>400</v>
      </c>
      <c r="E12" s="98" t="s">
        <v>38</v>
      </c>
      <c r="F12" s="119">
        <f>(C11-C12)/(D12-D11)</f>
        <v>12.755102040816327</v>
      </c>
      <c r="G12" s="16" t="s">
        <v>55</v>
      </c>
    </row>
    <row r="13" ht="14.25" thickBot="1">
      <c r="C13" s="7"/>
    </row>
    <row r="14" spans="2:13" ht="13.5">
      <c r="B14" s="18" t="s">
        <v>33</v>
      </c>
      <c r="C14" s="120" t="s">
        <v>7</v>
      </c>
      <c r="D14" s="60" t="s">
        <v>8</v>
      </c>
      <c r="E14" s="66"/>
      <c r="F14" s="66"/>
      <c r="G14" s="67"/>
      <c r="H14" s="31"/>
      <c r="I14" s="39" t="s">
        <v>10</v>
      </c>
      <c r="J14" s="40" t="s">
        <v>11</v>
      </c>
      <c r="K14" s="60" t="s">
        <v>26</v>
      </c>
      <c r="L14" s="55"/>
      <c r="M14" s="41" t="s">
        <v>12</v>
      </c>
    </row>
    <row r="15" spans="2:13" ht="13.5">
      <c r="B15" s="19" t="s">
        <v>40</v>
      </c>
      <c r="C15" s="24" t="s">
        <v>27</v>
      </c>
      <c r="D15" s="61" t="s">
        <v>31</v>
      </c>
      <c r="E15" s="68"/>
      <c r="F15" s="68"/>
      <c r="G15" s="69"/>
      <c r="H15" s="32"/>
      <c r="I15" s="42" t="s">
        <v>32</v>
      </c>
      <c r="J15" s="43" t="s">
        <v>32</v>
      </c>
      <c r="K15" s="61" t="s">
        <v>32</v>
      </c>
      <c r="L15" s="56" t="s">
        <v>29</v>
      </c>
      <c r="M15" s="44" t="s">
        <v>30</v>
      </c>
    </row>
    <row r="16" spans="2:13" ht="14.25" thickBot="1">
      <c r="B16" s="20"/>
      <c r="C16" s="121"/>
      <c r="D16" s="62" t="s">
        <v>56</v>
      </c>
      <c r="E16" s="70" t="s">
        <v>57</v>
      </c>
      <c r="F16" s="70" t="s">
        <v>58</v>
      </c>
      <c r="G16" s="71" t="s">
        <v>59</v>
      </c>
      <c r="H16" s="33" t="s">
        <v>9</v>
      </c>
      <c r="I16" s="45"/>
      <c r="J16" s="46"/>
      <c r="K16" s="62"/>
      <c r="L16" s="57"/>
      <c r="M16" s="47"/>
    </row>
    <row r="17" spans="2:13" ht="13.5">
      <c r="B17" s="21" t="s">
        <v>16</v>
      </c>
      <c r="C17" s="122">
        <f>D5-E5*(F9-F10)</f>
        <v>1469.406392694064</v>
      </c>
      <c r="D17" s="123">
        <f>(C17+D5)*(F9-F10)/2/10000</f>
        <v>423.09162861491626</v>
      </c>
      <c r="E17" s="124">
        <f>C17*(F10-F11)/10000</f>
        <v>522.4556062912227</v>
      </c>
      <c r="F17" s="124">
        <f>C17*(F$11-F$12)/10000</f>
        <v>259.3535602977873</v>
      </c>
      <c r="G17" s="125">
        <f>C17*F$12/10000</f>
        <v>1.8742428478240614</v>
      </c>
      <c r="H17" s="113">
        <f>SUM(D17:G17)</f>
        <v>1206.7750380517502</v>
      </c>
      <c r="I17" s="126">
        <f>D17*D$24+E17*E$24+F17*F$24+G17*G$24</f>
        <v>5499.303500761035</v>
      </c>
      <c r="J17" s="127">
        <f>C17*C9/10000+D9*H17</f>
        <v>5940.125418569254</v>
      </c>
      <c r="K17" s="63">
        <f>I17-J17</f>
        <v>-440.82191780821904</v>
      </c>
      <c r="L17" s="128">
        <f>K17/C17*10000</f>
        <v>-2999.9999999999995</v>
      </c>
      <c r="M17" s="129">
        <f>J17/H17</f>
        <v>4.922313796081787</v>
      </c>
    </row>
    <row r="18" spans="2:13" ht="13.5">
      <c r="B18" s="21" t="s">
        <v>17</v>
      </c>
      <c r="C18" s="122">
        <f>-E$5*(F10-F11)</f>
        <v>487.062404870624</v>
      </c>
      <c r="D18" s="74">
        <v>0</v>
      </c>
      <c r="E18" s="124">
        <f>C18*(F10-F11)/2/10000</f>
        <v>86.58887197699981</v>
      </c>
      <c r="F18" s="124">
        <f>C18*(F$11-F$12)/10000</f>
        <v>85.9676189095628</v>
      </c>
      <c r="G18" s="125">
        <f>C18*F$12/10000</f>
        <v>0.6212530674370204</v>
      </c>
      <c r="H18" s="34">
        <f>SUM(D18:G18)</f>
        <v>173.17774395399962</v>
      </c>
      <c r="I18" s="126">
        <f>D18*D$24+E18*E$24+F18*F$24+G18*G$24</f>
        <v>1239.30323017081</v>
      </c>
      <c r="J18" s="127">
        <f>C18*C10/10000+D10*H18</f>
        <v>1385.4219516319972</v>
      </c>
      <c r="K18" s="63">
        <f>I18-J18</f>
        <v>-146.1187214611873</v>
      </c>
      <c r="L18" s="128">
        <f>K18/C18*10000</f>
        <v>-3000.0000000000023</v>
      </c>
      <c r="M18" s="129">
        <f>J18/H18</f>
        <v>8.000000000000002</v>
      </c>
    </row>
    <row r="19" spans="2:13" ht="13.5">
      <c r="B19" s="21" t="s">
        <v>18</v>
      </c>
      <c r="C19" s="122">
        <f>-E$5*(F11-F12)</f>
        <v>241.78392818314538</v>
      </c>
      <c r="D19" s="74">
        <v>0</v>
      </c>
      <c r="E19" s="124">
        <v>0</v>
      </c>
      <c r="F19" s="124">
        <f>C19*(F11-F12)/2/10000</f>
        <v>21.337705793600428</v>
      </c>
      <c r="G19" s="130">
        <f>C19*F$12/10000</f>
        <v>0.3083978675805426</v>
      </c>
      <c r="H19" s="34">
        <f>SUM(D19:G19)</f>
        <v>21.64610366118097</v>
      </c>
      <c r="I19" s="126">
        <f>D19*D$24+E19*E$24+F19*F$24+G19*G$24</f>
        <v>294.06079338102046</v>
      </c>
      <c r="J19" s="127">
        <f>C19*C11/10000+D11*H19</f>
        <v>366.59597183596406</v>
      </c>
      <c r="K19" s="63">
        <f>I19-J19</f>
        <v>-72.5351784549436</v>
      </c>
      <c r="L19" s="128">
        <f>K19/C19*10000</f>
        <v>-3000</v>
      </c>
      <c r="M19" s="129">
        <f>J19/H19</f>
        <v>16.93588728826975</v>
      </c>
    </row>
    <row r="20" spans="2:13" ht="13.5">
      <c r="B20" s="21" t="s">
        <v>39</v>
      </c>
      <c r="C20" s="122">
        <f>-E$5*(F12-C13)</f>
        <v>1.74727425216662</v>
      </c>
      <c r="D20" s="74">
        <v>0</v>
      </c>
      <c r="E20" s="124">
        <v>0</v>
      </c>
      <c r="F20" s="124">
        <v>0</v>
      </c>
      <c r="G20" s="130">
        <f>C20*F12/2/10000</f>
        <v>0.001114333068983814</v>
      </c>
      <c r="H20" s="35">
        <f>SUM(D20:G20)</f>
        <v>0.001114333068983814</v>
      </c>
      <c r="I20" s="126">
        <f>D20*D$24+E20*E$24+F20*F$24+G20*G$24</f>
        <v>0.4457332275935256</v>
      </c>
      <c r="J20" s="127">
        <f>C20*C12/10000+D12*H20</f>
        <v>0.9699155032435116</v>
      </c>
      <c r="K20" s="63">
        <f>I20-J20</f>
        <v>-0.524182275649986</v>
      </c>
      <c r="L20" s="128">
        <f>K20/C20*10000</f>
        <v>-3000</v>
      </c>
      <c r="M20" s="131">
        <f>J20/H20</f>
        <v>870.3999999999999</v>
      </c>
    </row>
    <row r="21" spans="2:13" ht="13.5">
      <c r="B21" s="104" t="s">
        <v>9</v>
      </c>
      <c r="C21" s="132">
        <f aca="true" t="shared" si="0" ref="C21:K21">SUM(C17:C20)</f>
        <v>2200</v>
      </c>
      <c r="D21" s="133">
        <f t="shared" si="0"/>
        <v>423.09162861491626</v>
      </c>
      <c r="E21" s="134">
        <f t="shared" si="0"/>
        <v>609.0444782682225</v>
      </c>
      <c r="F21" s="134">
        <f t="shared" si="0"/>
        <v>366.65888500095053</v>
      </c>
      <c r="G21" s="135">
        <f t="shared" si="0"/>
        <v>2.805008115910608</v>
      </c>
      <c r="H21" s="136">
        <f t="shared" si="0"/>
        <v>1401.5999999999997</v>
      </c>
      <c r="I21" s="137">
        <f t="shared" si="0"/>
        <v>7033.113257540459</v>
      </c>
      <c r="J21" s="138">
        <f t="shared" si="0"/>
        <v>7693.113257540459</v>
      </c>
      <c r="K21" s="133">
        <f t="shared" si="0"/>
        <v>-660</v>
      </c>
      <c r="L21" s="139">
        <f>K21/C21*10000</f>
        <v>-3000</v>
      </c>
      <c r="M21" s="151">
        <f>J21/H21</f>
        <v>5.488807974843366</v>
      </c>
    </row>
    <row r="22" spans="2:13" ht="13.5">
      <c r="B22" s="29" t="s">
        <v>13</v>
      </c>
      <c r="C22" s="30"/>
      <c r="D22" s="140"/>
      <c r="E22" s="141"/>
      <c r="F22" s="141"/>
      <c r="G22" s="142"/>
      <c r="H22" s="36"/>
      <c r="I22" s="52"/>
      <c r="J22" s="53"/>
      <c r="K22" s="65"/>
      <c r="L22" s="59"/>
      <c r="M22" s="54"/>
    </row>
    <row r="23" spans="2:13" ht="13.5">
      <c r="B23" s="21" t="s">
        <v>16</v>
      </c>
      <c r="C23" s="143">
        <f>C17/C$21</f>
        <v>0.6679119966791199</v>
      </c>
      <c r="D23" s="144" t="s">
        <v>14</v>
      </c>
      <c r="E23" s="84" t="s">
        <v>30</v>
      </c>
      <c r="F23" s="124"/>
      <c r="G23" s="125"/>
      <c r="H23" s="145">
        <f>H17/H$21</f>
        <v>0.8609981721259635</v>
      </c>
      <c r="I23" s="11"/>
      <c r="J23" s="11"/>
      <c r="K23" s="11"/>
      <c r="L23" s="11"/>
      <c r="M23" s="12"/>
    </row>
    <row r="24" spans="2:13" ht="13.5">
      <c r="B24" s="21" t="s">
        <v>17</v>
      </c>
      <c r="C24" s="143">
        <f>C18/C$21</f>
        <v>0.22139200221392</v>
      </c>
      <c r="D24" s="74">
        <f>D9</f>
        <v>2</v>
      </c>
      <c r="E24" s="79">
        <f>D10</f>
        <v>3.5</v>
      </c>
      <c r="F24" s="79">
        <f>D11</f>
        <v>8</v>
      </c>
      <c r="G24" s="80">
        <f>D12</f>
        <v>400</v>
      </c>
      <c r="H24" s="145">
        <f>H18/H$21</f>
        <v>0.12355718033247692</v>
      </c>
      <c r="I24" s="11"/>
      <c r="J24" s="10"/>
      <c r="K24" s="11"/>
      <c r="L24" s="11"/>
      <c r="M24" s="12"/>
    </row>
    <row r="25" spans="2:13" ht="13.5">
      <c r="B25" s="21" t="s">
        <v>18</v>
      </c>
      <c r="C25" s="143">
        <f>C19/C$21</f>
        <v>0.10990178553779335</v>
      </c>
      <c r="D25" s="74"/>
      <c r="E25" s="79"/>
      <c r="F25" s="79"/>
      <c r="G25" s="80"/>
      <c r="H25" s="145">
        <f>H19/H$21</f>
        <v>0.015443852497988709</v>
      </c>
      <c r="I25" s="11"/>
      <c r="J25" s="11"/>
      <c r="K25" s="11"/>
      <c r="L25" s="11"/>
      <c r="M25" s="12"/>
    </row>
    <row r="26" spans="2:13" ht="14.25" thickBot="1">
      <c r="B26" s="22" t="s">
        <v>39</v>
      </c>
      <c r="C26" s="158">
        <f>C20/C$21</f>
        <v>0.0007942155691666455</v>
      </c>
      <c r="D26" s="81"/>
      <c r="E26" s="82"/>
      <c r="F26" s="82"/>
      <c r="G26" s="83"/>
      <c r="H26" s="147">
        <f>H20/H$21</f>
        <v>7.950435709074017E-07</v>
      </c>
      <c r="I26" s="13"/>
      <c r="J26" s="119"/>
      <c r="K26" s="148"/>
      <c r="L26" s="13"/>
      <c r="M26" s="16"/>
    </row>
    <row r="27" spans="10:11" ht="13.5">
      <c r="J27" s="7"/>
      <c r="K27" s="149"/>
    </row>
    <row r="28" spans="4:11" ht="13.5">
      <c r="D28" s="2"/>
      <c r="K28" s="7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3">
      <selection activeCell="I9" sqref="I9"/>
    </sheetView>
  </sheetViews>
  <sheetFormatPr defaultColWidth="9.140625" defaultRowHeight="15"/>
  <cols>
    <col min="1" max="1" width="3.00390625" style="0" customWidth="1"/>
    <col min="2" max="14" width="10.421875" style="0" customWidth="1"/>
  </cols>
  <sheetData>
    <row r="1" ht="13.5">
      <c r="A1" t="s">
        <v>36</v>
      </c>
    </row>
    <row r="2" spans="7:8" ht="14.25" thickBot="1">
      <c r="G2" s="3"/>
      <c r="H2" t="s">
        <v>45</v>
      </c>
    </row>
    <row r="3" spans="2:9" ht="13.5">
      <c r="B3" s="18" t="s">
        <v>0</v>
      </c>
      <c r="C3" s="91" t="s">
        <v>19</v>
      </c>
      <c r="D3" s="66" t="s">
        <v>20</v>
      </c>
      <c r="E3" s="99" t="s">
        <v>21</v>
      </c>
      <c r="F3" s="4"/>
      <c r="G3" s="4"/>
      <c r="H3" s="4"/>
      <c r="I3" s="4"/>
    </row>
    <row r="4" spans="2:9" ht="14.25" thickBot="1">
      <c r="B4" s="20"/>
      <c r="C4" s="92" t="s">
        <v>27</v>
      </c>
      <c r="D4" s="70" t="s">
        <v>27</v>
      </c>
      <c r="E4" s="100" t="s">
        <v>28</v>
      </c>
      <c r="F4" s="4"/>
      <c r="G4" s="4"/>
      <c r="H4" s="4"/>
      <c r="I4" s="4"/>
    </row>
    <row r="5" spans="2:12" ht="14.25" thickBot="1">
      <c r="B5" s="20"/>
      <c r="C5" s="114">
        <v>2200</v>
      </c>
      <c r="D5" s="115">
        <v>1000</v>
      </c>
      <c r="E5" s="103">
        <f>(D5-C5)/8760</f>
        <v>-0.136986301369863</v>
      </c>
      <c r="L5" s="2"/>
    </row>
    <row r="6" ht="14.25" thickBot="1"/>
    <row r="7" spans="2:7" ht="13.5">
      <c r="B7" s="18" t="s">
        <v>1</v>
      </c>
      <c r="C7" s="91" t="s">
        <v>5</v>
      </c>
      <c r="D7" s="8" t="s">
        <v>6</v>
      </c>
      <c r="E7" s="95"/>
      <c r="F7" s="86"/>
      <c r="G7" s="87"/>
    </row>
    <row r="8" spans="2:7" ht="14.25" thickBot="1">
      <c r="B8" s="20"/>
      <c r="C8" s="92" t="s">
        <v>29</v>
      </c>
      <c r="D8" s="17" t="s">
        <v>30</v>
      </c>
      <c r="E8" s="96" t="s">
        <v>37</v>
      </c>
      <c r="F8" s="13"/>
      <c r="G8" s="16"/>
    </row>
    <row r="9" spans="2:7" ht="13.5">
      <c r="B9" s="21" t="s">
        <v>16</v>
      </c>
      <c r="C9" s="116">
        <v>24000</v>
      </c>
      <c r="D9" s="89">
        <v>2</v>
      </c>
      <c r="E9" s="97" t="s">
        <v>38</v>
      </c>
      <c r="F9" s="117">
        <v>8760</v>
      </c>
      <c r="G9" s="12" t="s">
        <v>52</v>
      </c>
    </row>
    <row r="10" spans="2:8" ht="13.5">
      <c r="B10" s="21" t="s">
        <v>17</v>
      </c>
      <c r="C10" s="116">
        <v>16000</v>
      </c>
      <c r="D10" s="89">
        <v>3.5</v>
      </c>
      <c r="E10" s="97" t="s">
        <v>38</v>
      </c>
      <c r="F10" s="157">
        <f>(C9-C10)/(D10-D9)+H10</f>
        <v>5333.333333333333</v>
      </c>
      <c r="G10" s="12" t="s">
        <v>53</v>
      </c>
      <c r="H10" s="155">
        <v>0</v>
      </c>
    </row>
    <row r="11" spans="2:9" ht="13.5">
      <c r="B11" s="21" t="s">
        <v>18</v>
      </c>
      <c r="C11" s="116">
        <v>8000</v>
      </c>
      <c r="D11" s="89">
        <v>8</v>
      </c>
      <c r="E11" s="97" t="s">
        <v>38</v>
      </c>
      <c r="F11" s="157">
        <f>(C10-C11)/(D11-D10)+H11</f>
        <v>4181.777777777777</v>
      </c>
      <c r="G11" s="12" t="s">
        <v>54</v>
      </c>
      <c r="H11" s="156">
        <v>2404</v>
      </c>
      <c r="I11" t="s">
        <v>51</v>
      </c>
    </row>
    <row r="12" spans="2:8" ht="14.25" thickBot="1">
      <c r="B12" s="22" t="s">
        <v>39</v>
      </c>
      <c r="C12" s="94">
        <v>0</v>
      </c>
      <c r="D12" s="90">
        <v>400</v>
      </c>
      <c r="E12" s="98" t="s">
        <v>38</v>
      </c>
      <c r="F12" s="153">
        <v>0</v>
      </c>
      <c r="G12" s="16" t="s">
        <v>55</v>
      </c>
      <c r="H12" t="s">
        <v>46</v>
      </c>
    </row>
    <row r="13" ht="14.25" thickBot="1">
      <c r="C13" s="7"/>
    </row>
    <row r="14" spans="2:13" ht="13.5">
      <c r="B14" s="18" t="s">
        <v>33</v>
      </c>
      <c r="C14" s="120" t="s">
        <v>7</v>
      </c>
      <c r="D14" s="60" t="s">
        <v>8</v>
      </c>
      <c r="E14" s="66"/>
      <c r="F14" s="66"/>
      <c r="G14" s="67"/>
      <c r="H14" s="31"/>
      <c r="I14" s="39" t="s">
        <v>10</v>
      </c>
      <c r="J14" s="40" t="s">
        <v>11</v>
      </c>
      <c r="K14" s="60" t="s">
        <v>26</v>
      </c>
      <c r="L14" s="55"/>
      <c r="M14" s="41" t="s">
        <v>12</v>
      </c>
    </row>
    <row r="15" spans="2:13" ht="13.5">
      <c r="B15" s="19" t="s">
        <v>40</v>
      </c>
      <c r="C15" s="24" t="s">
        <v>27</v>
      </c>
      <c r="D15" s="61" t="s">
        <v>31</v>
      </c>
      <c r="E15" s="68"/>
      <c r="F15" s="68"/>
      <c r="G15" s="69"/>
      <c r="H15" s="32"/>
      <c r="I15" s="42" t="s">
        <v>32</v>
      </c>
      <c r="J15" s="43" t="s">
        <v>32</v>
      </c>
      <c r="K15" s="61" t="s">
        <v>32</v>
      </c>
      <c r="L15" s="56" t="s">
        <v>29</v>
      </c>
      <c r="M15" s="44" t="s">
        <v>30</v>
      </c>
    </row>
    <row r="16" spans="2:13" ht="14.25" thickBot="1">
      <c r="B16" s="20"/>
      <c r="C16" s="121"/>
      <c r="D16" s="62" t="s">
        <v>56</v>
      </c>
      <c r="E16" s="70" t="s">
        <v>57</v>
      </c>
      <c r="F16" s="70" t="s">
        <v>58</v>
      </c>
      <c r="G16" s="71" t="s">
        <v>59</v>
      </c>
      <c r="H16" s="33" t="s">
        <v>9</v>
      </c>
      <c r="I16" s="45"/>
      <c r="J16" s="46"/>
      <c r="K16" s="62"/>
      <c r="L16" s="57"/>
      <c r="M16" s="47"/>
    </row>
    <row r="17" spans="2:13" ht="13.5">
      <c r="B17" s="21" t="s">
        <v>47</v>
      </c>
      <c r="C17" s="122">
        <f>D5-E5*(F9-F10)</f>
        <v>1469.406392694064</v>
      </c>
      <c r="D17" s="123">
        <f>(C17+D5)*(F9-F10)/2/10000</f>
        <v>423.09162861491626</v>
      </c>
      <c r="E17" s="124">
        <f>C17*(F10-F11)/10000</f>
        <v>169.2103094875698</v>
      </c>
      <c r="F17" s="124">
        <f>C17*(F$11-F$12)/10000</f>
        <v>614.4730999492642</v>
      </c>
      <c r="G17" s="125">
        <f>C17*F$12/10000</f>
        <v>0</v>
      </c>
      <c r="H17" s="113">
        <f>SUM(D17:G17)</f>
        <v>1206.7750380517502</v>
      </c>
      <c r="I17" s="126">
        <f>D17*D$24+E17*E$24+F17*F$24+G17*G$24</f>
        <v>6354.204140030441</v>
      </c>
      <c r="J17" s="127">
        <f>C17*C9/10000+D9*H17</f>
        <v>5940.125418569254</v>
      </c>
      <c r="K17" s="63">
        <f>I17-J17</f>
        <v>414.07872146118643</v>
      </c>
      <c r="L17" s="128">
        <f>K17/C17*10000</f>
        <v>2817.999999999995</v>
      </c>
      <c r="M17" s="129">
        <f>J17/H17</f>
        <v>4.922313796081787</v>
      </c>
    </row>
    <row r="18" spans="2:13" ht="13.5">
      <c r="B18" s="21" t="s">
        <v>48</v>
      </c>
      <c r="C18" s="122">
        <f>-E$5*(F10-F11)</f>
        <v>157.74733637747337</v>
      </c>
      <c r="D18" s="74">
        <v>0</v>
      </c>
      <c r="E18" s="124">
        <f>C18*(F10-F11)/2/10000</f>
        <v>9.082741078978524</v>
      </c>
      <c r="F18" s="124">
        <f>C18*(F$11-F$12)/10000</f>
        <v>65.96643057669542</v>
      </c>
      <c r="G18" s="125">
        <f>C18*F$12/10000</f>
        <v>0</v>
      </c>
      <c r="H18" s="34">
        <f>SUM(D18:G18)</f>
        <v>75.04917165567394</v>
      </c>
      <c r="I18" s="126">
        <f>D18*D$24+E18*E$24+F18*F$24+G18*G$24</f>
        <v>559.5210383899881</v>
      </c>
      <c r="J18" s="127">
        <f>C18*C10/10000+D10*H18</f>
        <v>515.0678389988162</v>
      </c>
      <c r="K18" s="63">
        <f>I18-J18</f>
        <v>44.45319939117189</v>
      </c>
      <c r="L18" s="128">
        <f>K18/C18*10000</f>
        <v>2817.999999999993</v>
      </c>
      <c r="M18" s="129">
        <f>J18/H18</f>
        <v>6.863071605399599</v>
      </c>
    </row>
    <row r="19" spans="2:13" ht="13.5">
      <c r="B19" s="21" t="s">
        <v>49</v>
      </c>
      <c r="C19" s="122">
        <f>-E$5*(F11-F12)</f>
        <v>572.8462709284627</v>
      </c>
      <c r="D19" s="74">
        <v>0</v>
      </c>
      <c r="E19" s="124">
        <v>0</v>
      </c>
      <c r="F19" s="124">
        <f>C19*(F11-F12)/2/10000</f>
        <v>119.77579029257565</v>
      </c>
      <c r="G19" s="130">
        <f>C19*F$12/10000</f>
        <v>0</v>
      </c>
      <c r="H19" s="34">
        <f>SUM(D19:G19)</f>
        <v>119.77579029257565</v>
      </c>
      <c r="I19" s="126">
        <f>D19*D$24+E19*E$24+F19*F$24+G19*G$24</f>
        <v>958.2063223406052</v>
      </c>
      <c r="J19" s="127">
        <f>C19*C11/10000+D11*H19</f>
        <v>1416.4833390833753</v>
      </c>
      <c r="K19" s="63">
        <f>I19-J19</f>
        <v>-458.2770167427701</v>
      </c>
      <c r="L19" s="128">
        <f>K19/C19*10000</f>
        <v>-7999.999999999999</v>
      </c>
      <c r="M19" s="129">
        <f>J19/H19</f>
        <v>11.826123923902648</v>
      </c>
    </row>
    <row r="20" spans="2:13" ht="13.5">
      <c r="B20" s="21" t="s">
        <v>50</v>
      </c>
      <c r="C20" s="122">
        <f>-E$5*(F12-C13)</f>
        <v>0</v>
      </c>
      <c r="D20" s="74">
        <v>0</v>
      </c>
      <c r="E20" s="124">
        <v>0</v>
      </c>
      <c r="F20" s="124">
        <v>0</v>
      </c>
      <c r="G20" s="130">
        <f>C20*F12/2/10000</f>
        <v>0</v>
      </c>
      <c r="H20" s="35">
        <f>SUM(D20:G20)</f>
        <v>0</v>
      </c>
      <c r="I20" s="126">
        <f>D20*D$24+E20*E$24+F20*F$24+G20*G$24</f>
        <v>0</v>
      </c>
      <c r="J20" s="127">
        <f>C20*C12/10000+D12*H20</f>
        <v>0</v>
      </c>
      <c r="K20" s="63">
        <f>I20-J20</f>
        <v>0</v>
      </c>
      <c r="L20" s="128"/>
      <c r="M20" s="131"/>
    </row>
    <row r="21" spans="2:13" ht="13.5">
      <c r="B21" s="104" t="s">
        <v>9</v>
      </c>
      <c r="C21" s="132">
        <f aca="true" t="shared" si="0" ref="C21:K21">SUM(C17:C20)</f>
        <v>2200</v>
      </c>
      <c r="D21" s="133">
        <f t="shared" si="0"/>
        <v>423.09162861491626</v>
      </c>
      <c r="E21" s="134">
        <f t="shared" si="0"/>
        <v>178.29305056654832</v>
      </c>
      <c r="F21" s="134">
        <f t="shared" si="0"/>
        <v>800.2153208185352</v>
      </c>
      <c r="G21" s="135">
        <f t="shared" si="0"/>
        <v>0</v>
      </c>
      <c r="H21" s="136">
        <f t="shared" si="0"/>
        <v>1401.6</v>
      </c>
      <c r="I21" s="137">
        <f t="shared" si="0"/>
        <v>7871.931500761034</v>
      </c>
      <c r="J21" s="138">
        <f t="shared" si="0"/>
        <v>7871.676596651446</v>
      </c>
      <c r="K21" s="133">
        <f t="shared" si="0"/>
        <v>0.2549041095882103</v>
      </c>
      <c r="L21" s="139">
        <f>K21/C21*10000</f>
        <v>1.158655043582774</v>
      </c>
      <c r="M21" s="151">
        <f>J21/H21</f>
        <v>5.61620761747392</v>
      </c>
    </row>
    <row r="22" spans="2:13" ht="13.5">
      <c r="B22" s="29" t="s">
        <v>13</v>
      </c>
      <c r="C22" s="30"/>
      <c r="D22" s="140"/>
      <c r="E22" s="141"/>
      <c r="F22" s="141"/>
      <c r="G22" s="142"/>
      <c r="H22" s="36"/>
      <c r="I22" s="52"/>
      <c r="J22" s="53"/>
      <c r="K22" s="65"/>
      <c r="L22" s="59"/>
      <c r="M22" s="54"/>
    </row>
    <row r="23" spans="2:13" ht="13.5">
      <c r="B23" s="21" t="s">
        <v>47</v>
      </c>
      <c r="C23" s="143">
        <f>C17/C$21</f>
        <v>0.6679119966791199</v>
      </c>
      <c r="D23" s="144" t="s">
        <v>14</v>
      </c>
      <c r="E23" s="84" t="s">
        <v>30</v>
      </c>
      <c r="F23" s="124"/>
      <c r="G23" s="125"/>
      <c r="H23" s="145">
        <f>H17/H$21</f>
        <v>0.8609981721259634</v>
      </c>
      <c r="I23" s="11"/>
      <c r="J23" s="11"/>
      <c r="K23" s="11"/>
      <c r="L23" s="11"/>
      <c r="M23" s="12"/>
    </row>
    <row r="24" spans="2:13" ht="13.5">
      <c r="B24" s="21" t="s">
        <v>48</v>
      </c>
      <c r="C24" s="143">
        <f>C18/C$21</f>
        <v>0.07170333471703336</v>
      </c>
      <c r="D24" s="74">
        <f>D9</f>
        <v>2</v>
      </c>
      <c r="E24" s="79">
        <f>D10</f>
        <v>3.5</v>
      </c>
      <c r="F24" s="79">
        <f>D11</f>
        <v>8</v>
      </c>
      <c r="G24" s="80">
        <f>D12</f>
        <v>400</v>
      </c>
      <c r="H24" s="145">
        <f>H18/H$21</f>
        <v>0.0535453564894934</v>
      </c>
      <c r="I24" s="11"/>
      <c r="J24" s="10"/>
      <c r="K24" s="11"/>
      <c r="L24" s="11"/>
      <c r="M24" s="12"/>
    </row>
    <row r="25" spans="2:13" ht="13.5">
      <c r="B25" s="21" t="s">
        <v>49</v>
      </c>
      <c r="C25" s="143">
        <f>C19/C$21</f>
        <v>0.2603846686038467</v>
      </c>
      <c r="D25" s="74"/>
      <c r="E25" s="79"/>
      <c r="F25" s="79"/>
      <c r="G25" s="80"/>
      <c r="H25" s="145">
        <f>H19/H$21</f>
        <v>0.08545647138454314</v>
      </c>
      <c r="I25" s="11"/>
      <c r="J25" s="11"/>
      <c r="K25" s="11"/>
      <c r="L25" s="11"/>
      <c r="M25" s="12"/>
    </row>
    <row r="26" spans="2:13" ht="14.25" thickBot="1">
      <c r="B26" s="22" t="s">
        <v>50</v>
      </c>
      <c r="C26" s="146">
        <f>C20/C$21</f>
        <v>0</v>
      </c>
      <c r="D26" s="81"/>
      <c r="E26" s="82"/>
      <c r="F26" s="82"/>
      <c r="G26" s="83"/>
      <c r="H26" s="147">
        <f>H20/H$21</f>
        <v>0</v>
      </c>
      <c r="I26" s="13"/>
      <c r="J26" s="119"/>
      <c r="K26" s="148"/>
      <c r="L26" s="13"/>
      <c r="M26" s="16"/>
    </row>
    <row r="27" spans="10:11" ht="13.5">
      <c r="J27" s="7"/>
      <c r="K27" s="149"/>
    </row>
    <row r="28" spans="4:11" ht="13.5">
      <c r="D28" s="2"/>
      <c r="K28" s="7"/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IEEI</dc:creator>
  <cp:keywords/>
  <dc:description/>
  <cp:lastModifiedBy>TODA　NAOKI</cp:lastModifiedBy>
  <dcterms:created xsi:type="dcterms:W3CDTF">2013-03-24T10:55:12Z</dcterms:created>
  <dcterms:modified xsi:type="dcterms:W3CDTF">2013-06-10T12:06:59Z</dcterms:modified>
  <cp:category/>
  <cp:version/>
  <cp:contentType/>
  <cp:contentStatus/>
</cp:coreProperties>
</file>